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haigekassa-my.sharepoint.com/personal/reelika_laht_tervisekassa_ee/Documents/Reelika/Kodukale/"/>
    </mc:Choice>
  </mc:AlternateContent>
  <xr:revisionPtr revIDLastSave="0" documentId="8_{1C705F7C-318F-400B-AF3C-0B43BD1B8523}" xr6:coauthVersionLast="47" xr6:coauthVersionMax="47" xr10:uidLastSave="{00000000-0000-0000-0000-000000000000}"/>
  <bookViews>
    <workbookView xWindow="-120" yWindow="-120" windowWidth="38640" windowHeight="21120" activeTab="2" xr2:uid="{22D353F5-9640-4C4F-8899-043C5B1ADFE6}"/>
  </bookViews>
  <sheets>
    <sheet name="Abiandmed" sheetId="1" r:id="rId1"/>
    <sheet name="Üksikpraksis" sheetId="2" r:id="rId2"/>
    <sheet name="ETTK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" i="1" l="1"/>
  <c r="S13" i="1"/>
  <c r="S14" i="1" s="1"/>
  <c r="V14" i="1" s="1"/>
  <c r="W14" i="1" s="1"/>
  <c r="S27" i="1"/>
  <c r="V27" i="1" s="1"/>
  <c r="W27" i="1" s="1"/>
  <c r="S15" i="1"/>
  <c r="V15" i="1" s="1"/>
  <c r="W15" i="1" s="1"/>
  <c r="S17" i="1"/>
  <c r="W17" i="1" s="1"/>
  <c r="V17" i="1" s="1"/>
  <c r="S12" i="1"/>
  <c r="V12" i="1" s="1"/>
  <c r="W12" i="1" s="1"/>
  <c r="V13" i="1" l="1"/>
  <c r="W13" i="1" s="1"/>
  <c r="S18" i="1"/>
  <c r="W18" i="1" s="1"/>
  <c r="V18" i="1" s="1"/>
  <c r="S16" i="1"/>
  <c r="W16" i="1" s="1"/>
  <c r="V16" i="1" s="1"/>
  <c r="W19" i="1" l="1"/>
  <c r="V19" i="1"/>
  <c r="S4" i="1" l="1"/>
  <c r="G11" i="3"/>
  <c r="F11" i="3"/>
  <c r="E11" i="3"/>
  <c r="D11" i="3"/>
  <c r="S24" i="1" l="1"/>
  <c r="V24" i="1" s="1"/>
  <c r="S28" i="1"/>
  <c r="W28" i="1" s="1"/>
  <c r="V28" i="1" s="1"/>
  <c r="S25" i="1"/>
  <c r="S29" i="1"/>
  <c r="W29" i="1" s="1"/>
  <c r="V29" i="1" s="1"/>
  <c r="V25" i="1" l="1"/>
  <c r="W25" i="1" s="1"/>
  <c r="S26" i="1"/>
  <c r="V26" i="1" s="1"/>
  <c r="W26" i="1" s="1"/>
  <c r="S30" i="1"/>
  <c r="W30" i="1" s="1"/>
  <c r="V30" i="1" s="1"/>
  <c r="W24" i="1"/>
  <c r="C25" i="2"/>
  <c r="V31" i="1" l="1"/>
  <c r="W31" i="1"/>
  <c r="C26" i="3"/>
  <c r="C25" i="3"/>
  <c r="C24" i="3"/>
  <c r="E9" i="3"/>
  <c r="D9" i="3"/>
  <c r="E8" i="3"/>
  <c r="D8" i="3"/>
  <c r="E7" i="3"/>
  <c r="D7" i="3"/>
  <c r="E6" i="3"/>
  <c r="D6" i="3"/>
  <c r="J5" i="3"/>
  <c r="I5" i="3"/>
  <c r="H5" i="3"/>
  <c r="G5" i="3"/>
  <c r="F5" i="3"/>
  <c r="E5" i="3"/>
  <c r="D5" i="3"/>
  <c r="J4" i="3"/>
  <c r="I4" i="3"/>
  <c r="H4" i="3"/>
  <c r="G4" i="3"/>
  <c r="F4" i="3"/>
  <c r="E4" i="3"/>
  <c r="D4" i="3"/>
  <c r="J3" i="3"/>
  <c r="I3" i="3"/>
  <c r="H3" i="3"/>
  <c r="G3" i="3"/>
  <c r="F3" i="3"/>
  <c r="E3" i="3"/>
  <c r="D3" i="3"/>
  <c r="C24" i="2"/>
  <c r="I5" i="2"/>
  <c r="E7" i="2"/>
  <c r="E4" i="2"/>
  <c r="J5" i="2"/>
  <c r="J4" i="2"/>
  <c r="J3" i="2"/>
  <c r="I4" i="2"/>
  <c r="I3" i="2"/>
  <c r="H5" i="2"/>
  <c r="H4" i="2"/>
  <c r="H3" i="2"/>
  <c r="G5" i="2"/>
  <c r="G4" i="2"/>
  <c r="G3" i="2"/>
  <c r="F5" i="2"/>
  <c r="F4" i="2"/>
  <c r="F3" i="2"/>
  <c r="E9" i="2"/>
  <c r="E8" i="2"/>
  <c r="E6" i="2"/>
  <c r="E5" i="2"/>
  <c r="E3" i="2"/>
  <c r="D9" i="2"/>
  <c r="D8" i="2"/>
  <c r="D7" i="2"/>
  <c r="D6" i="2"/>
  <c r="D5" i="2"/>
  <c r="D4" i="2"/>
  <c r="D3" i="2"/>
  <c r="F10" i="3" l="1"/>
  <c r="C27" i="3"/>
  <c r="F10" i="2"/>
  <c r="C26" i="2"/>
  <c r="E10" i="3"/>
  <c r="G10" i="3"/>
  <c r="D10" i="3"/>
  <c r="J10" i="3"/>
  <c r="H10" i="3"/>
  <c r="I10" i="3"/>
  <c r="J10" i="2"/>
  <c r="I10" i="2"/>
  <c r="H10" i="2"/>
  <c r="G10" i="2"/>
  <c r="E10" i="2"/>
  <c r="D10" i="2"/>
  <c r="C12" i="3" l="1"/>
  <c r="H18" i="3"/>
  <c r="F18" i="2"/>
  <c r="C12" i="2"/>
  <c r="C13" i="2" l="1"/>
  <c r="C13" i="3"/>
  <c r="C14" i="3" s="1"/>
  <c r="C14" i="2" l="1"/>
</calcChain>
</file>

<file path=xl/sharedStrings.xml><?xml version="1.0" encoding="utf-8"?>
<sst xmlns="http://schemas.openxmlformats.org/spreadsheetml/2006/main" count="184" uniqueCount="82">
  <si>
    <t>Piirhind (kalendrikuus) 2025apr</t>
  </si>
  <si>
    <t>Teenus</t>
  </si>
  <si>
    <t>Üksikpraksis</t>
  </si>
  <si>
    <t>Tervisekeskus</t>
  </si>
  <si>
    <t>... sh esimene pereõde</t>
  </si>
  <si>
    <t>Nimistuid</t>
  </si>
  <si>
    <t>Uus koef</t>
  </si>
  <si>
    <t>... sh seadmed</t>
  </si>
  <si>
    <t>... sh ruumid</t>
  </si>
  <si>
    <t>... sh Transport</t>
  </si>
  <si>
    <t>... sh IT</t>
  </si>
  <si>
    <t>... sh muud kulud</t>
  </si>
  <si>
    <t>Baasraha</t>
  </si>
  <si>
    <t>... sh arsti tööjõukulud</t>
  </si>
  <si>
    <t>... sh õe tööjõukulud</t>
  </si>
  <si>
    <t>... sh lisatööjõud</t>
  </si>
  <si>
    <t>... sh töökohad, koolitus, töötervishoid</t>
  </si>
  <si>
    <t>... sh YKM+KKM</t>
  </si>
  <si>
    <t>... sh Ravimid</t>
  </si>
  <si>
    <t>Pearaha vanuses 0-2 aastat</t>
  </si>
  <si>
    <t>... sh töökohad ja koolitus</t>
  </si>
  <si>
    <t>Pearaha vanuses 3-6 aastat</t>
  </si>
  <si>
    <t>Pearaha vanuses 7+</t>
  </si>
  <si>
    <t>Pearaha 1 kaasuv</t>
  </si>
  <si>
    <t>Pearaha 2 kaasuvat</t>
  </si>
  <si>
    <t>Pearaha 3-4 kaasuvat</t>
  </si>
  <si>
    <t>Pearaha 5+ kaasuvat</t>
  </si>
  <si>
    <t>Kaugustasu</t>
  </si>
  <si>
    <t>Nimistu Koosseis</t>
  </si>
  <si>
    <t>Arsti töötasu</t>
  </si>
  <si>
    <t xml:space="preserve">Õe töötasu </t>
  </si>
  <si>
    <t xml:space="preserve">lisatööjõud </t>
  </si>
  <si>
    <t>Pearaha</t>
  </si>
  <si>
    <t>... sh vanuserühm 0-2</t>
  </si>
  <si>
    <t>... sh vanuserühm 3-6</t>
  </si>
  <si>
    <t>... sh vanuserühm 7+</t>
  </si>
  <si>
    <t>... sh kaasuvaid 1</t>
  </si>
  <si>
    <t>... sh kaasuvaid 2</t>
  </si>
  <si>
    <t>... sh kaasuvaid 3-4</t>
  </si>
  <si>
    <t>... Sh kaasuvaid 5+</t>
  </si>
  <si>
    <t>Pearaha kokku</t>
  </si>
  <si>
    <t xml:space="preserve">Kas lisandub kvaliteedi tasu </t>
  </si>
  <si>
    <t>EI</t>
  </si>
  <si>
    <t xml:space="preserve">Nimistul on teine õde </t>
  </si>
  <si>
    <t>JAH</t>
  </si>
  <si>
    <t xml:space="preserve">Töötasu kokku </t>
  </si>
  <si>
    <t>Nimistul teine tegevuskoht</t>
  </si>
  <si>
    <t>Kokku baasraha</t>
  </si>
  <si>
    <t>Abiline</t>
  </si>
  <si>
    <t>Mitmest jur. Isikust ETTK</t>
  </si>
  <si>
    <t>Nimistute arv tervisekeskuses</t>
  </si>
  <si>
    <t xml:space="preserve">Baasraha kokku </t>
  </si>
  <si>
    <t>Perearst</t>
  </si>
  <si>
    <t>Lisakomponent</t>
  </si>
  <si>
    <t>Nimistu ülene komponent</t>
  </si>
  <si>
    <t>KLL</t>
  </si>
  <si>
    <t>Õe töötasu</t>
  </si>
  <si>
    <t>Arsti töötasu (eriarst)</t>
  </si>
  <si>
    <t>Õde x 1,2</t>
  </si>
  <si>
    <t>üldarst x 1,38</t>
  </si>
  <si>
    <t>Kulu liik</t>
  </si>
  <si>
    <t>Kulu objekt</t>
  </si>
  <si>
    <t>Mõõtühik</t>
  </si>
  <si>
    <t>Kogus</t>
  </si>
  <si>
    <t>Ühiku hind, €</t>
  </si>
  <si>
    <t>Kasutusaeg</t>
  </si>
  <si>
    <t>Hind kuus, €</t>
  </si>
  <si>
    <t>Hind aastas, €</t>
  </si>
  <si>
    <t>Tööjõukulu</t>
  </si>
  <si>
    <t>h</t>
  </si>
  <si>
    <t>Pereõde</t>
  </si>
  <si>
    <t>Perearsti asendaja puhkuse ajal</t>
  </si>
  <si>
    <t>Pereõe asendaja puhkuse ajal</t>
  </si>
  <si>
    <t>Tööjõukulu kokku</t>
  </si>
  <si>
    <t xml:space="preserve">Abiline </t>
  </si>
  <si>
    <t>Perearsti asendaja koolituse ajal</t>
  </si>
  <si>
    <t>II Pereõde</t>
  </si>
  <si>
    <t xml:space="preserve">Keskmine nimistu ( Siia panna oma nimistu  koosseisu andmed) </t>
  </si>
  <si>
    <t>https://tervisekassa.ee/perearstide-fondide-taitmised</t>
  </si>
  <si>
    <t>Oma nimistu koosseisu andmed leiab</t>
  </si>
  <si>
    <t>Üldkulude leht</t>
  </si>
  <si>
    <t>Lepingu kogus näitab isikute arvu vastavas rühmas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</si>
</sst>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11"/>
      <color theme="1"/>
      <name val="Aptos Narrow"/>
      <family val="2"/>
      <charset val="186"/>
      <scheme val="minor"/>
    </font>
    <font>
      <b/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i/>
      <sz val="12"/>
      <name val="Aptos Narrow"/>
      <family val="2"/>
      <scheme val="minor"/>
    </font>
    <font>
      <b/>
      <sz val="12"/>
      <color rgb="FFFFFFFF"/>
      <name val="Aptos Narrow"/>
      <scheme val="minor"/>
    </font>
    <font>
      <i/>
      <sz val="12"/>
      <color rgb="FF00B050"/>
      <name val="Aptos Narrow"/>
      <family val="2"/>
      <scheme val="minor"/>
    </font>
    <font>
      <b/>
      <sz val="11"/>
      <color theme="1"/>
      <name val="Aptos Narrow"/>
      <family val="2"/>
      <charset val="186"/>
      <scheme val="minor"/>
    </font>
    <font>
      <b/>
      <i/>
      <sz val="11"/>
      <name val="Aptos Narrow"/>
      <family val="2"/>
      <charset val="186"/>
      <scheme val="minor"/>
    </font>
    <font>
      <b/>
      <i/>
      <sz val="11"/>
      <color theme="1"/>
      <name val="Aptos Narrow"/>
      <family val="2"/>
      <charset val="186"/>
      <scheme val="minor"/>
    </font>
    <font>
      <sz val="11"/>
      <name val="Aptos Narrow"/>
      <family val="2"/>
      <charset val="186"/>
      <scheme val="minor"/>
    </font>
    <font>
      <b/>
      <sz val="11"/>
      <name val="Aptos Narrow"/>
      <family val="2"/>
      <charset val="186"/>
      <scheme val="minor"/>
    </font>
    <font>
      <u/>
      <sz val="11"/>
      <color theme="10"/>
      <name val="Aptos Narrow"/>
      <family val="2"/>
      <charset val="186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0E6F5"/>
        <bgColor rgb="FF000000"/>
      </patternFill>
    </fill>
    <fill>
      <patternFill patternType="solid">
        <fgColor rgb="FF15608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67">
    <xf numFmtId="0" fontId="0" fillId="0" borderId="0" xfId="0"/>
    <xf numFmtId="2" fontId="0" fillId="0" borderId="0" xfId="0" applyNumberFormat="1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4" borderId="0" xfId="0" applyFill="1" applyProtection="1">
      <protection locked="0"/>
    </xf>
    <xf numFmtId="0" fontId="4" fillId="0" borderId="0" xfId="0" applyFont="1" applyProtection="1">
      <protection locked="0"/>
    </xf>
    <xf numFmtId="2" fontId="0" fillId="0" borderId="0" xfId="0" applyNumberFormat="1" applyProtection="1">
      <protection locked="0"/>
    </xf>
    <xf numFmtId="0" fontId="2" fillId="4" borderId="0" xfId="0" applyFont="1" applyFill="1" applyProtection="1">
      <protection locked="0"/>
    </xf>
    <xf numFmtId="2" fontId="0" fillId="4" borderId="0" xfId="0" applyNumberFormat="1" applyFill="1"/>
    <xf numFmtId="2" fontId="2" fillId="0" borderId="0" xfId="0" applyNumberFormat="1" applyFont="1"/>
    <xf numFmtId="2" fontId="2" fillId="4" borderId="0" xfId="0" applyNumberFormat="1" applyFont="1" applyFill="1"/>
    <xf numFmtId="0" fontId="1" fillId="0" borderId="0" xfId="0" applyFont="1" applyProtection="1">
      <protection locked="0"/>
    </xf>
    <xf numFmtId="0" fontId="3" fillId="0" borderId="0" xfId="0" applyFont="1"/>
    <xf numFmtId="0" fontId="5" fillId="6" borderId="0" xfId="0" applyFont="1" applyFill="1" applyAlignment="1">
      <alignment vertical="center" wrapText="1"/>
    </xf>
    <xf numFmtId="2" fontId="6" fillId="5" borderId="0" xfId="0" applyNumberFormat="1" applyFont="1" applyFill="1" applyProtection="1">
      <protection locked="0"/>
    </xf>
    <xf numFmtId="14" fontId="0" fillId="0" borderId="0" xfId="0" applyNumberFormat="1"/>
    <xf numFmtId="0" fontId="8" fillId="0" borderId="1" xfId="0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/>
    <xf numFmtId="0" fontId="9" fillId="7" borderId="1" xfId="0" applyFont="1" applyFill="1" applyBorder="1"/>
    <xf numFmtId="0" fontId="10" fillId="8" borderId="2" xfId="0" applyFont="1" applyFill="1" applyBorder="1" applyAlignment="1">
      <alignment wrapText="1"/>
    </xf>
    <xf numFmtId="0" fontId="10" fillId="0" borderId="3" xfId="0" applyFont="1" applyBorder="1"/>
    <xf numFmtId="0" fontId="10" fillId="0" borderId="3" xfId="0" applyFont="1" applyBorder="1" applyAlignment="1">
      <alignment horizontal="center"/>
    </xf>
    <xf numFmtId="164" fontId="10" fillId="0" borderId="3" xfId="0" applyNumberFormat="1" applyFont="1" applyBorder="1" applyAlignment="1">
      <alignment horizontal="center"/>
    </xf>
    <xf numFmtId="4" fontId="10" fillId="0" borderId="3" xfId="0" applyNumberFormat="1" applyFont="1" applyBorder="1" applyAlignment="1">
      <alignment horizontal="center"/>
    </xf>
    <xf numFmtId="0" fontId="0" fillId="0" borderId="3" xfId="0" applyBorder="1"/>
    <xf numFmtId="2" fontId="0" fillId="0" borderId="3" xfId="0" applyNumberFormat="1" applyBorder="1"/>
    <xf numFmtId="2" fontId="0" fillId="0" borderId="4" xfId="0" applyNumberFormat="1" applyBorder="1"/>
    <xf numFmtId="0" fontId="10" fillId="8" borderId="0" xfId="0" applyFont="1" applyFill="1" applyAlignment="1">
      <alignment wrapText="1"/>
    </xf>
    <xf numFmtId="0" fontId="10" fillId="0" borderId="5" xfId="0" applyFont="1" applyBorder="1"/>
    <xf numFmtId="0" fontId="10" fillId="0" borderId="5" xfId="0" applyFont="1" applyBorder="1" applyAlignment="1">
      <alignment horizontal="center"/>
    </xf>
    <xf numFmtId="3" fontId="10" fillId="0" borderId="5" xfId="0" applyNumberFormat="1" applyFont="1" applyBorder="1" applyAlignment="1">
      <alignment horizontal="center"/>
    </xf>
    <xf numFmtId="4" fontId="10" fillId="0" borderId="6" xfId="0" applyNumberFormat="1" applyFont="1" applyBorder="1" applyAlignment="1">
      <alignment horizontal="center"/>
    </xf>
    <xf numFmtId="0" fontId="0" fillId="0" borderId="5" xfId="0" applyBorder="1"/>
    <xf numFmtId="2" fontId="0" fillId="0" borderId="5" xfId="0" applyNumberFormat="1" applyBorder="1"/>
    <xf numFmtId="2" fontId="0" fillId="0" borderId="7" xfId="0" applyNumberFormat="1" applyBorder="1"/>
    <xf numFmtId="0" fontId="10" fillId="9" borderId="5" xfId="0" applyFont="1" applyFill="1" applyBorder="1"/>
    <xf numFmtId="4" fontId="10" fillId="0" borderId="5" xfId="0" applyNumberFormat="1" applyFont="1" applyBorder="1" applyAlignment="1">
      <alignment horizontal="center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3" fontId="10" fillId="0" borderId="1" xfId="0" applyNumberFormat="1" applyFont="1" applyBorder="1" applyAlignment="1">
      <alignment horizontal="center"/>
    </xf>
    <xf numFmtId="4" fontId="10" fillId="0" borderId="1" xfId="0" applyNumberFormat="1" applyFont="1" applyBorder="1" applyAlignment="1">
      <alignment horizontal="center"/>
    </xf>
    <xf numFmtId="0" fontId="11" fillId="0" borderId="8" xfId="0" applyFont="1" applyBorder="1" applyAlignment="1">
      <alignment wrapText="1"/>
    </xf>
    <xf numFmtId="0" fontId="11" fillId="0" borderId="9" xfId="0" applyFont="1" applyBorder="1"/>
    <xf numFmtId="0" fontId="11" fillId="0" borderId="9" xfId="0" applyFont="1" applyBorder="1" applyAlignment="1">
      <alignment horizontal="center"/>
    </xf>
    <xf numFmtId="0" fontId="0" fillId="0" borderId="9" xfId="0" applyBorder="1"/>
    <xf numFmtId="2" fontId="7" fillId="0" borderId="9" xfId="0" applyNumberFormat="1" applyFont="1" applyBorder="1"/>
    <xf numFmtId="2" fontId="7" fillId="0" borderId="10" xfId="0" applyNumberFormat="1" applyFont="1" applyBorder="1"/>
    <xf numFmtId="0" fontId="0" fillId="0" borderId="1" xfId="0" applyBorder="1"/>
    <xf numFmtId="2" fontId="0" fillId="0" borderId="1" xfId="0" applyNumberFormat="1" applyBorder="1"/>
    <xf numFmtId="2" fontId="0" fillId="0" borderId="11" xfId="0" applyNumberFormat="1" applyBorder="1"/>
    <xf numFmtId="2" fontId="10" fillId="0" borderId="12" xfId="0" applyNumberFormat="1" applyFont="1" applyBorder="1" applyAlignment="1">
      <alignment wrapText="1"/>
    </xf>
    <xf numFmtId="0" fontId="12" fillId="0" borderId="0" xfId="1" applyProtection="1">
      <protection locked="0"/>
    </xf>
    <xf numFmtId="2" fontId="1" fillId="0" borderId="0" xfId="0" applyNumberFormat="1" applyFont="1" applyProtection="1">
      <protection hidden="1"/>
    </xf>
    <xf numFmtId="0" fontId="2" fillId="0" borderId="0" xfId="0" applyFont="1" applyProtection="1">
      <protection hidden="1"/>
    </xf>
    <xf numFmtId="2" fontId="2" fillId="4" borderId="0" xfId="0" applyNumberFormat="1" applyFont="1" applyFill="1" applyProtection="1">
      <protection hidden="1"/>
    </xf>
    <xf numFmtId="2" fontId="0" fillId="4" borderId="0" xfId="0" applyNumberFormat="1" applyFill="1" applyProtection="1">
      <protection hidden="1"/>
    </xf>
    <xf numFmtId="2" fontId="0" fillId="0" borderId="0" xfId="0" applyNumberFormat="1" applyProtection="1">
      <protection hidden="1"/>
    </xf>
    <xf numFmtId="0" fontId="0" fillId="4" borderId="0" xfId="0" applyFill="1" applyProtection="1">
      <protection locked="0" hidden="1"/>
    </xf>
    <xf numFmtId="0" fontId="0" fillId="0" borderId="0" xfId="0" applyProtection="1">
      <protection locked="0" hidden="1"/>
    </xf>
    <xf numFmtId="2" fontId="2" fillId="0" borderId="0" xfId="0" applyNumberFormat="1" applyFont="1" applyProtection="1">
      <protection hidden="1"/>
    </xf>
    <xf numFmtId="2" fontId="0" fillId="4" borderId="0" xfId="0" applyNumberFormat="1" applyFill="1" applyProtection="1">
      <protection locked="0" hidden="1"/>
    </xf>
    <xf numFmtId="2" fontId="0" fillId="0" borderId="0" xfId="0" applyNumberFormat="1" applyProtection="1">
      <protection locked="0" hidden="1"/>
    </xf>
    <xf numFmtId="2" fontId="3" fillId="0" borderId="0" xfId="0" applyNumberFormat="1" applyFont="1" applyProtection="1">
      <protection hidden="1"/>
    </xf>
    <xf numFmtId="0" fontId="0" fillId="2" borderId="0" xfId="0" applyFill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ustomXml" Target="../ink/ink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399765</xdr:colOff>
      <xdr:row>17</xdr:row>
      <xdr:rowOff>18915</xdr:rowOff>
    </xdr:from>
    <xdr:to>
      <xdr:col>12</xdr:col>
      <xdr:colOff>400125</xdr:colOff>
      <xdr:row>17</xdr:row>
      <xdr:rowOff>19275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ED4E6264-BECA-B0D3-0637-6A7835C3A465}"/>
                </a:ext>
              </a:extLst>
            </xdr14:cNvPr>
            <xdr14:cNvContentPartPr/>
          </xdr14:nvContentPartPr>
          <xdr14:nvPr macro=""/>
          <xdr14:xfrm>
            <a:off x="12401265" y="3743190"/>
            <a:ext cx="360" cy="360"/>
          </xdr14:xfrm>
        </xdr:contentPart>
      </mc:Choice>
      <mc:Fallback xmlns="">
        <xdr:pic>
          <xdr:nvPicPr>
            <xdr:cNvPr id="7" name="Ink 6">
              <a:extLst>
                <a:ext uri="{FF2B5EF4-FFF2-40B4-BE49-F238E27FC236}">
                  <a16:creationId xmlns:a16="http://schemas.microsoft.com/office/drawing/2014/main" id="{ED4E6264-BECA-B0D3-0637-6A7835C3A465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2395145" y="3737070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8</xdr:col>
      <xdr:colOff>0</xdr:colOff>
      <xdr:row>17</xdr:row>
      <xdr:rowOff>0</xdr:rowOff>
    </xdr:from>
    <xdr:to>
      <xdr:col>17</xdr:col>
      <xdr:colOff>162713</xdr:colOff>
      <xdr:row>31</xdr:row>
      <xdr:rowOff>143269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C71ADF48-0E20-CFB9-E707-ED64063148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63100" y="3724275"/>
          <a:ext cx="5649113" cy="28197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17</xdr:row>
      <xdr:rowOff>0</xdr:rowOff>
    </xdr:from>
    <xdr:to>
      <xdr:col>20</xdr:col>
      <xdr:colOff>267503</xdr:colOff>
      <xdr:row>31</xdr:row>
      <xdr:rowOff>57532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3F71140-6A16-C30B-51DD-9FE7AA6B1A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53875" y="4095750"/>
          <a:ext cx="5753903" cy="2734057"/>
        </a:xfrm>
        <a:prstGeom prst="rect">
          <a:avLst/>
        </a:prstGeom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4-22T06:13:50.018"/>
    </inkml:context>
    <inkml:brush xml:id="br0">
      <inkml:brushProperty name="width" value="0.035" units="cm"/>
      <inkml:brushProperty name="height" value="0.035" units="cm"/>
      <inkml:brushProperty name="color" value="#E71224"/>
    </inkml:brush>
  </inkml:definitions>
  <inkml:trace contextRef="#ctx0" brushRef="#br0">1 0 24575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tervisekassa.ee/perearstide-fondide-taitmised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tervisekassa.ee/perearstide-fondide-taitmise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3D455-7864-4EE2-83CF-F87E98C3499E}">
  <dimension ref="A1:Y46"/>
  <sheetViews>
    <sheetView topLeftCell="H2" workbookViewId="0">
      <selection activeCell="U41" sqref="U41"/>
    </sheetView>
  </sheetViews>
  <sheetFormatPr defaultRowHeight="15" x14ac:dyDescent="0.25"/>
  <cols>
    <col min="15" max="15" width="20" bestFit="1" customWidth="1"/>
    <col min="16" max="16" width="16.28515625" customWidth="1"/>
    <col min="18" max="18" width="12.28515625" bestFit="1" customWidth="1"/>
    <col min="23" max="23" width="15.42578125" customWidth="1"/>
  </cols>
  <sheetData>
    <row r="1" spans="1:25" x14ac:dyDescent="0.25">
      <c r="C1" t="s">
        <v>0</v>
      </c>
    </row>
    <row r="2" spans="1:25" ht="31.5" x14ac:dyDescent="0.25">
      <c r="A2" t="s">
        <v>1</v>
      </c>
      <c r="C2" t="s">
        <v>2</v>
      </c>
      <c r="D2" t="s">
        <v>3</v>
      </c>
      <c r="E2" s="14" t="s">
        <v>53</v>
      </c>
      <c r="P2" t="s">
        <v>55</v>
      </c>
    </row>
    <row r="3" spans="1:25" x14ac:dyDescent="0.25">
      <c r="A3" t="s">
        <v>4</v>
      </c>
      <c r="C3" s="1">
        <v>1149.99</v>
      </c>
      <c r="D3" s="1">
        <v>2299.9899999999998</v>
      </c>
      <c r="E3" s="1"/>
      <c r="I3" t="s">
        <v>5</v>
      </c>
      <c r="J3" t="s">
        <v>6</v>
      </c>
      <c r="P3" s="16">
        <v>46113</v>
      </c>
    </row>
    <row r="4" spans="1:25" x14ac:dyDescent="0.25">
      <c r="A4" t="s">
        <v>7</v>
      </c>
      <c r="C4" s="1">
        <v>140.51</v>
      </c>
      <c r="D4" s="1">
        <v>171.69</v>
      </c>
      <c r="E4" s="1"/>
      <c r="I4">
        <v>1</v>
      </c>
      <c r="J4" s="1">
        <v>1</v>
      </c>
      <c r="O4" t="s">
        <v>57</v>
      </c>
      <c r="P4">
        <v>22.81</v>
      </c>
      <c r="R4" t="s">
        <v>59</v>
      </c>
      <c r="S4" s="1">
        <f>20.96*1.38</f>
        <v>28.924799999999998</v>
      </c>
    </row>
    <row r="5" spans="1:25" x14ac:dyDescent="0.25">
      <c r="A5" t="s">
        <v>8</v>
      </c>
      <c r="C5" s="1">
        <v>986.61</v>
      </c>
      <c r="D5" s="1">
        <v>1952.57</v>
      </c>
      <c r="E5" s="1"/>
      <c r="I5">
        <v>2</v>
      </c>
      <c r="J5" s="1">
        <v>1</v>
      </c>
      <c r="O5" t="s">
        <v>56</v>
      </c>
      <c r="P5">
        <v>12.79</v>
      </c>
      <c r="R5" t="s">
        <v>58</v>
      </c>
      <c r="S5" s="1">
        <f>12.79*1.2</f>
        <v>15.347999999999999</v>
      </c>
    </row>
    <row r="6" spans="1:25" x14ac:dyDescent="0.25">
      <c r="A6" t="s">
        <v>9</v>
      </c>
      <c r="C6" s="1">
        <v>507.81</v>
      </c>
      <c r="D6" s="1">
        <v>507.81</v>
      </c>
      <c r="E6" s="1"/>
      <c r="I6">
        <v>3</v>
      </c>
      <c r="J6" s="1">
        <v>1</v>
      </c>
      <c r="O6" t="s">
        <v>74</v>
      </c>
      <c r="P6">
        <v>8.1</v>
      </c>
    </row>
    <row r="7" spans="1:25" x14ac:dyDescent="0.25">
      <c r="A7" t="s">
        <v>10</v>
      </c>
      <c r="C7" s="1">
        <v>493.85</v>
      </c>
      <c r="D7" s="1">
        <v>622.21</v>
      </c>
      <c r="E7" s="1"/>
      <c r="I7">
        <v>4</v>
      </c>
      <c r="J7" s="1">
        <v>1</v>
      </c>
    </row>
    <row r="8" spans="1:25" x14ac:dyDescent="0.25">
      <c r="A8" t="s">
        <v>11</v>
      </c>
      <c r="C8" s="1">
        <v>429.07</v>
      </c>
      <c r="D8" s="1">
        <v>470.25</v>
      </c>
      <c r="E8" s="1"/>
      <c r="I8">
        <v>5</v>
      </c>
      <c r="J8" s="1">
        <v>1</v>
      </c>
    </row>
    <row r="9" spans="1:25" x14ac:dyDescent="0.25">
      <c r="A9" t="s">
        <v>12</v>
      </c>
      <c r="C9" s="10">
        <v>3707.84</v>
      </c>
      <c r="D9" s="10">
        <v>6024.52</v>
      </c>
      <c r="E9" s="1"/>
      <c r="I9">
        <v>6</v>
      </c>
      <c r="J9" s="1">
        <v>1</v>
      </c>
      <c r="Y9">
        <v>1.3380000000000001</v>
      </c>
    </row>
    <row r="10" spans="1:25" x14ac:dyDescent="0.25">
      <c r="A10" t="s">
        <v>13</v>
      </c>
      <c r="C10" s="1">
        <v>7.5</v>
      </c>
      <c r="D10" s="1">
        <v>7.5</v>
      </c>
      <c r="E10" s="1">
        <v>0.36</v>
      </c>
      <c r="I10">
        <v>7</v>
      </c>
      <c r="J10" s="1">
        <v>0.87999999999999989</v>
      </c>
      <c r="W10">
        <v>1200</v>
      </c>
      <c r="Y10">
        <v>12</v>
      </c>
    </row>
    <row r="11" spans="1:25" ht="30.75" thickBot="1" x14ac:dyDescent="0.3">
      <c r="A11" t="s">
        <v>14</v>
      </c>
      <c r="C11" s="1">
        <v>6.57</v>
      </c>
      <c r="D11" s="1">
        <v>6.57</v>
      </c>
      <c r="E11" s="1">
        <v>0.4</v>
      </c>
      <c r="I11">
        <v>8</v>
      </c>
      <c r="J11" s="1">
        <v>0.875</v>
      </c>
      <c r="O11" s="17" t="s">
        <v>60</v>
      </c>
      <c r="P11" s="17" t="s">
        <v>61</v>
      </c>
      <c r="Q11" s="17" t="s">
        <v>62</v>
      </c>
      <c r="R11" s="18" t="s">
        <v>63</v>
      </c>
      <c r="S11" s="18" t="s">
        <v>64</v>
      </c>
      <c r="T11" s="19" t="s">
        <v>65</v>
      </c>
      <c r="U11" s="20"/>
      <c r="V11" s="19" t="s">
        <v>66</v>
      </c>
      <c r="W11" s="19" t="s">
        <v>67</v>
      </c>
    </row>
    <row r="12" spans="1:25" ht="15.75" thickBot="1" x14ac:dyDescent="0.3">
      <c r="A12" t="s">
        <v>15</v>
      </c>
      <c r="C12" s="1">
        <v>1.31</v>
      </c>
      <c r="D12" s="1">
        <v>1.31</v>
      </c>
      <c r="E12" s="1">
        <v>0.31</v>
      </c>
      <c r="I12">
        <v>9</v>
      </c>
      <c r="J12" s="1">
        <v>0.87000000000000011</v>
      </c>
      <c r="O12" s="21" t="s">
        <v>68</v>
      </c>
      <c r="P12" s="22" t="s">
        <v>52</v>
      </c>
      <c r="Q12" s="23" t="s">
        <v>69</v>
      </c>
      <c r="R12" s="24">
        <v>168</v>
      </c>
      <c r="S12" s="25">
        <f>+P4*Y9</f>
        <v>30.519780000000001</v>
      </c>
      <c r="T12" s="26"/>
      <c r="U12" s="26"/>
      <c r="V12" s="27">
        <f>S12*R12</f>
        <v>5127.3230400000002</v>
      </c>
      <c r="W12" s="28">
        <f>+$Y$10*V12</f>
        <v>61527.876480000006</v>
      </c>
    </row>
    <row r="13" spans="1:25" ht="15.75" thickBot="1" x14ac:dyDescent="0.3">
      <c r="A13" t="s">
        <v>16</v>
      </c>
      <c r="C13" s="1">
        <v>0.09</v>
      </c>
      <c r="D13" s="1">
        <v>0.09</v>
      </c>
      <c r="E13" s="1">
        <v>0.15</v>
      </c>
      <c r="I13">
        <v>10</v>
      </c>
      <c r="J13" s="1">
        <v>0.8650000000000001</v>
      </c>
      <c r="O13" s="29"/>
      <c r="P13" s="30" t="s">
        <v>70</v>
      </c>
      <c r="Q13" s="31" t="s">
        <v>69</v>
      </c>
      <c r="R13" s="32">
        <v>168</v>
      </c>
      <c r="S13" s="33">
        <f>+P5*Y9</f>
        <v>17.113019999999999</v>
      </c>
      <c r="T13" s="34"/>
      <c r="U13" s="34"/>
      <c r="V13" s="35">
        <f>S13*R13</f>
        <v>2874.9873599999996</v>
      </c>
      <c r="W13" s="28">
        <f t="shared" ref="W13:W15" si="0">+$Y$10*V13</f>
        <v>34499.848319999997</v>
      </c>
    </row>
    <row r="14" spans="1:25" ht="15.75" thickBot="1" x14ac:dyDescent="0.3">
      <c r="A14" t="s">
        <v>17</v>
      </c>
      <c r="C14" s="1">
        <v>0.24</v>
      </c>
      <c r="D14" s="1">
        <v>0.24</v>
      </c>
      <c r="E14" s="1"/>
      <c r="I14">
        <v>11</v>
      </c>
      <c r="J14" s="1">
        <v>0.86</v>
      </c>
      <c r="O14" s="29"/>
      <c r="P14" s="30" t="s">
        <v>76</v>
      </c>
      <c r="Q14" s="31" t="s">
        <v>69</v>
      </c>
      <c r="R14" s="32">
        <v>154</v>
      </c>
      <c r="S14" s="33">
        <f>+S13</f>
        <v>17.113019999999999</v>
      </c>
      <c r="T14" s="34"/>
      <c r="U14" s="34"/>
      <c r="V14" s="35">
        <f>+R14*S14</f>
        <v>2635.40508</v>
      </c>
      <c r="W14" s="28">
        <f>+V14*Y10</f>
        <v>31624.860959999998</v>
      </c>
    </row>
    <row r="15" spans="1:25" x14ac:dyDescent="0.25">
      <c r="A15" t="s">
        <v>18</v>
      </c>
      <c r="C15" s="1">
        <v>0.18</v>
      </c>
      <c r="D15" s="1">
        <v>0.18</v>
      </c>
      <c r="E15" s="1"/>
      <c r="I15">
        <v>12</v>
      </c>
      <c r="J15" s="1">
        <v>0.85500000000000009</v>
      </c>
      <c r="O15" s="29"/>
      <c r="P15" s="37" t="s">
        <v>48</v>
      </c>
      <c r="Q15" s="31" t="s">
        <v>69</v>
      </c>
      <c r="R15" s="32">
        <v>168</v>
      </c>
      <c r="S15" s="33">
        <f>+P6*Y9</f>
        <v>10.8378</v>
      </c>
      <c r="T15" s="34"/>
      <c r="U15" s="34"/>
      <c r="V15" s="35">
        <f>S15*R15</f>
        <v>1820.7503999999999</v>
      </c>
      <c r="W15" s="28">
        <f t="shared" si="0"/>
        <v>21849.004799999999</v>
      </c>
    </row>
    <row r="16" spans="1:25" x14ac:dyDescent="0.25">
      <c r="A16" t="s">
        <v>11</v>
      </c>
      <c r="C16" s="1">
        <v>0.17</v>
      </c>
      <c r="D16" s="1">
        <v>0.17</v>
      </c>
      <c r="E16" s="1"/>
      <c r="I16">
        <v>13</v>
      </c>
      <c r="J16" s="1">
        <v>0.85</v>
      </c>
      <c r="O16" s="29"/>
      <c r="P16" s="30" t="s">
        <v>71</v>
      </c>
      <c r="Q16" s="31" t="s">
        <v>69</v>
      </c>
      <c r="R16" s="32">
        <v>168</v>
      </c>
      <c r="S16" s="38">
        <f>+S12</f>
        <v>30.519780000000001</v>
      </c>
      <c r="T16" s="34"/>
      <c r="U16" s="34"/>
      <c r="V16" s="35">
        <f>W16/Y10</f>
        <v>427.27692000000002</v>
      </c>
      <c r="W16" s="36">
        <f>S16*R16</f>
        <v>5127.3230400000002</v>
      </c>
    </row>
    <row r="17" spans="1:23" x14ac:dyDescent="0.25">
      <c r="A17" t="s">
        <v>19</v>
      </c>
      <c r="C17" s="10">
        <v>16.059999999999999</v>
      </c>
      <c r="D17" s="10">
        <v>16.059999999999999</v>
      </c>
      <c r="E17" s="10">
        <v>1.21</v>
      </c>
      <c r="I17">
        <v>14</v>
      </c>
      <c r="J17" s="1">
        <v>0.84499999999999986</v>
      </c>
      <c r="O17" s="29"/>
      <c r="P17" s="39" t="s">
        <v>72</v>
      </c>
      <c r="Q17" s="40" t="s">
        <v>69</v>
      </c>
      <c r="R17" s="41">
        <v>168</v>
      </c>
      <c r="S17" s="42">
        <f>+P5*Y9</f>
        <v>17.113019999999999</v>
      </c>
      <c r="T17" s="34"/>
      <c r="U17" s="34"/>
      <c r="V17" s="35">
        <f>+W17/Y10</f>
        <v>239.58227999999997</v>
      </c>
      <c r="W17" s="36">
        <f>S17*R17</f>
        <v>2874.9873599999996</v>
      </c>
    </row>
    <row r="18" spans="1:23" ht="45" x14ac:dyDescent="0.25">
      <c r="A18" t="s">
        <v>13</v>
      </c>
      <c r="C18" s="1">
        <v>4.1900000000000004</v>
      </c>
      <c r="D18" s="1">
        <v>4.1900000000000004</v>
      </c>
      <c r="E18" s="1">
        <v>0.2</v>
      </c>
      <c r="I18">
        <v>15</v>
      </c>
      <c r="J18" s="1">
        <v>0.84</v>
      </c>
      <c r="O18" s="29"/>
      <c r="P18" s="52" t="s">
        <v>75</v>
      </c>
      <c r="Q18" s="40" t="s">
        <v>69</v>
      </c>
      <c r="R18" s="41">
        <v>60</v>
      </c>
      <c r="S18" s="42">
        <f>+S12</f>
        <v>30.519780000000001</v>
      </c>
      <c r="T18" s="49"/>
      <c r="U18" s="49"/>
      <c r="V18" s="50">
        <f>+W18/Y10</f>
        <v>152.59889999999999</v>
      </c>
      <c r="W18" s="51">
        <f>+R18*S18</f>
        <v>1831.1867999999999</v>
      </c>
    </row>
    <row r="19" spans="1:23" ht="15.75" thickBot="1" x14ac:dyDescent="0.3">
      <c r="A19" t="s">
        <v>14</v>
      </c>
      <c r="C19" s="1">
        <v>4.59</v>
      </c>
      <c r="D19" s="1">
        <v>4.59</v>
      </c>
      <c r="E19" s="1">
        <v>0.28000000000000003</v>
      </c>
      <c r="I19">
        <v>16</v>
      </c>
      <c r="J19" s="1">
        <v>0.83499999999999996</v>
      </c>
      <c r="O19" s="43" t="s">
        <v>73</v>
      </c>
      <c r="P19" s="44"/>
      <c r="Q19" s="44"/>
      <c r="R19" s="45"/>
      <c r="S19" s="45"/>
      <c r="T19" s="46"/>
      <c r="U19" s="46"/>
      <c r="V19" s="47">
        <f>SUM(V12:V17)</f>
        <v>13125.325080000001</v>
      </c>
      <c r="W19" s="48">
        <f>SUM(W12:W17)</f>
        <v>157503.90095999997</v>
      </c>
    </row>
    <row r="20" spans="1:23" x14ac:dyDescent="0.25">
      <c r="A20" t="s">
        <v>15</v>
      </c>
      <c r="C20" s="1">
        <v>1.31</v>
      </c>
      <c r="D20" s="1">
        <v>1.31</v>
      </c>
      <c r="E20" s="1">
        <v>0.31</v>
      </c>
      <c r="I20">
        <v>17</v>
      </c>
      <c r="J20" s="1">
        <v>0.83000000000000007</v>
      </c>
    </row>
    <row r="21" spans="1:23" x14ac:dyDescent="0.25">
      <c r="A21" t="s">
        <v>20</v>
      </c>
      <c r="C21" s="1">
        <v>0.09</v>
      </c>
      <c r="D21" s="1">
        <v>0.09</v>
      </c>
      <c r="E21" s="1">
        <v>0.15</v>
      </c>
      <c r="I21">
        <v>18</v>
      </c>
      <c r="J21" s="1">
        <v>0.82499999999999996</v>
      </c>
    </row>
    <row r="22" spans="1:23" x14ac:dyDescent="0.25">
      <c r="A22" t="s">
        <v>17</v>
      </c>
      <c r="C22" s="1">
        <v>0.24</v>
      </c>
      <c r="D22" s="1">
        <v>0.24</v>
      </c>
      <c r="E22" s="1"/>
      <c r="I22">
        <v>19</v>
      </c>
      <c r="J22" s="1">
        <v>0.82000000000000017</v>
      </c>
    </row>
    <row r="23" spans="1:23" ht="30.75" thickBot="1" x14ac:dyDescent="0.3">
      <c r="A23" t="s">
        <v>18</v>
      </c>
      <c r="C23" s="1">
        <v>0.18</v>
      </c>
      <c r="D23" s="1">
        <v>0.18</v>
      </c>
      <c r="E23" s="1"/>
      <c r="I23">
        <v>20</v>
      </c>
      <c r="J23" s="1">
        <v>0.81499999999999995</v>
      </c>
      <c r="O23" s="17" t="s">
        <v>60</v>
      </c>
      <c r="P23" s="17" t="s">
        <v>61</v>
      </c>
      <c r="Q23" s="17" t="s">
        <v>62</v>
      </c>
      <c r="R23" s="18" t="s">
        <v>63</v>
      </c>
      <c r="S23" s="18" t="s">
        <v>64</v>
      </c>
      <c r="T23" s="19" t="s">
        <v>65</v>
      </c>
      <c r="U23" s="20"/>
      <c r="V23" s="19" t="s">
        <v>66</v>
      </c>
      <c r="W23" s="19" t="s">
        <v>67</v>
      </c>
    </row>
    <row r="24" spans="1:23" ht="15.75" thickBot="1" x14ac:dyDescent="0.3">
      <c r="A24" t="s">
        <v>11</v>
      </c>
      <c r="C24" s="1">
        <v>0.17</v>
      </c>
      <c r="D24" s="1">
        <v>0.17</v>
      </c>
      <c r="E24" s="1"/>
      <c r="I24">
        <v>21</v>
      </c>
      <c r="J24" s="1">
        <v>0.80999999999999994</v>
      </c>
      <c r="O24" s="21" t="s">
        <v>68</v>
      </c>
      <c r="P24" s="22" t="s">
        <v>52</v>
      </c>
      <c r="Q24" s="23" t="s">
        <v>69</v>
      </c>
      <c r="R24" s="24">
        <v>168</v>
      </c>
      <c r="S24" s="25">
        <f>+S4*Y9</f>
        <v>38.7013824</v>
      </c>
      <c r="T24" s="26"/>
      <c r="U24" s="26"/>
      <c r="V24" s="27">
        <f>S24*R24</f>
        <v>6501.8322432000004</v>
      </c>
      <c r="W24" s="28">
        <f>+$Y$10*V24</f>
        <v>78021.986918400013</v>
      </c>
    </row>
    <row r="25" spans="1:23" ht="15.75" thickBot="1" x14ac:dyDescent="0.3">
      <c r="A25" t="s">
        <v>21</v>
      </c>
      <c r="C25" s="10">
        <v>10.77</v>
      </c>
      <c r="D25" s="10">
        <v>10.77</v>
      </c>
      <c r="E25" s="10">
        <v>0.93</v>
      </c>
      <c r="I25">
        <v>22</v>
      </c>
      <c r="J25" s="1">
        <v>0.80500000000000005</v>
      </c>
      <c r="O25" s="29"/>
      <c r="P25" s="30" t="s">
        <v>70</v>
      </c>
      <c r="Q25" s="31" t="s">
        <v>69</v>
      </c>
      <c r="R25" s="32">
        <v>168</v>
      </c>
      <c r="S25" s="33">
        <f>+S5*Y9</f>
        <v>20.535623999999999</v>
      </c>
      <c r="T25" s="34"/>
      <c r="U25" s="34"/>
      <c r="V25" s="35">
        <f>S25*R25</f>
        <v>3449.9848319999996</v>
      </c>
      <c r="W25" s="28">
        <f t="shared" ref="W25:W27" si="1">+$Y$10*V25</f>
        <v>41399.817983999994</v>
      </c>
    </row>
    <row r="26" spans="1:23" ht="15.75" thickBot="1" x14ac:dyDescent="0.3">
      <c r="A26" t="s">
        <v>13</v>
      </c>
      <c r="C26" s="1">
        <v>2.54</v>
      </c>
      <c r="D26" s="1">
        <v>2.54</v>
      </c>
      <c r="E26" s="1">
        <v>0.12</v>
      </c>
      <c r="I26">
        <v>23</v>
      </c>
      <c r="J26" s="1">
        <v>0.8</v>
      </c>
      <c r="O26" s="29"/>
      <c r="P26" s="30" t="s">
        <v>76</v>
      </c>
      <c r="Q26" s="31" t="s">
        <v>69</v>
      </c>
      <c r="R26" s="32">
        <v>154</v>
      </c>
      <c r="S26" s="33">
        <f>+S25</f>
        <v>20.535623999999999</v>
      </c>
      <c r="T26" s="34"/>
      <c r="U26" s="34"/>
      <c r="V26" s="35">
        <f>+R26*S26</f>
        <v>3162.4860959999996</v>
      </c>
      <c r="W26" s="28">
        <f t="shared" si="1"/>
        <v>37949.833151999992</v>
      </c>
    </row>
    <row r="27" spans="1:23" x14ac:dyDescent="0.25">
      <c r="A27" t="s">
        <v>14</v>
      </c>
      <c r="C27" s="1">
        <v>2.15</v>
      </c>
      <c r="D27" s="1">
        <v>2.15</v>
      </c>
      <c r="E27" s="1">
        <v>0.13</v>
      </c>
      <c r="I27">
        <v>24</v>
      </c>
      <c r="J27" s="1">
        <v>0.79500000000000015</v>
      </c>
      <c r="O27" s="29"/>
      <c r="P27" s="37" t="s">
        <v>48</v>
      </c>
      <c r="Q27" s="31" t="s">
        <v>69</v>
      </c>
      <c r="R27" s="32">
        <v>168</v>
      </c>
      <c r="S27" s="33">
        <f>+P6*Y9</f>
        <v>10.8378</v>
      </c>
      <c r="T27" s="34"/>
      <c r="U27" s="34"/>
      <c r="V27" s="35">
        <f>S27*R27</f>
        <v>1820.7503999999999</v>
      </c>
      <c r="W27" s="28">
        <f t="shared" si="1"/>
        <v>21849.004799999999</v>
      </c>
    </row>
    <row r="28" spans="1:23" x14ac:dyDescent="0.25">
      <c r="A28" t="s">
        <v>15</v>
      </c>
      <c r="C28" s="1">
        <v>1.31</v>
      </c>
      <c r="D28" s="1">
        <v>1.31</v>
      </c>
      <c r="E28" s="1">
        <v>0.31</v>
      </c>
      <c r="I28">
        <v>25</v>
      </c>
      <c r="J28" s="1">
        <v>0.79</v>
      </c>
      <c r="O28" s="29"/>
      <c r="P28" s="30" t="s">
        <v>71</v>
      </c>
      <c r="Q28" s="31" t="s">
        <v>69</v>
      </c>
      <c r="R28" s="32">
        <v>168</v>
      </c>
      <c r="S28" s="38">
        <f>+S4*Y9</f>
        <v>38.7013824</v>
      </c>
      <c r="T28" s="34"/>
      <c r="U28" s="34"/>
      <c r="V28" s="35">
        <f>W28/Y10</f>
        <v>541.8193536</v>
      </c>
      <c r="W28" s="36">
        <f>S28*R28</f>
        <v>6501.8322432000004</v>
      </c>
    </row>
    <row r="29" spans="1:23" x14ac:dyDescent="0.25">
      <c r="A29" t="s">
        <v>20</v>
      </c>
      <c r="C29" s="1">
        <v>0.09</v>
      </c>
      <c r="D29" s="1">
        <v>0.09</v>
      </c>
      <c r="E29" s="1">
        <v>0.15</v>
      </c>
      <c r="O29" s="29"/>
      <c r="P29" s="39" t="s">
        <v>72</v>
      </c>
      <c r="Q29" s="40" t="s">
        <v>69</v>
      </c>
      <c r="R29" s="41">
        <v>168</v>
      </c>
      <c r="S29" s="42">
        <f>+S5*Y9</f>
        <v>20.535623999999999</v>
      </c>
      <c r="T29" s="34"/>
      <c r="U29" s="34"/>
      <c r="V29" s="35">
        <f>+W29/Y10</f>
        <v>287.49873599999995</v>
      </c>
      <c r="W29" s="36">
        <f>S29*R29</f>
        <v>3449.9848319999996</v>
      </c>
    </row>
    <row r="30" spans="1:23" ht="45" x14ac:dyDescent="0.25">
      <c r="A30" t="s">
        <v>17</v>
      </c>
      <c r="C30" s="1">
        <v>0.24</v>
      </c>
      <c r="D30" s="1">
        <v>0.24</v>
      </c>
      <c r="E30" s="1"/>
      <c r="O30" s="29"/>
      <c r="P30" s="52" t="s">
        <v>75</v>
      </c>
      <c r="Q30" s="40" t="s">
        <v>69</v>
      </c>
      <c r="R30" s="41">
        <v>60</v>
      </c>
      <c r="S30" s="42">
        <f>+S24</f>
        <v>38.7013824</v>
      </c>
      <c r="T30" s="49"/>
      <c r="U30" s="49"/>
      <c r="V30" s="50">
        <f>+W30/Y10</f>
        <v>193.50691199999997</v>
      </c>
      <c r="W30" s="51">
        <f>+R30*S30</f>
        <v>2322.0829439999998</v>
      </c>
    </row>
    <row r="31" spans="1:23" ht="15.75" thickBot="1" x14ac:dyDescent="0.3">
      <c r="A31" t="s">
        <v>18</v>
      </c>
      <c r="C31" s="1">
        <v>0.18</v>
      </c>
      <c r="D31" s="1">
        <v>0.18</v>
      </c>
      <c r="E31" s="1"/>
      <c r="O31" s="43" t="s">
        <v>73</v>
      </c>
      <c r="P31" s="44"/>
      <c r="Q31" s="44"/>
      <c r="R31" s="45"/>
      <c r="S31" s="45"/>
      <c r="T31" s="46"/>
      <c r="U31" s="46"/>
      <c r="V31" s="47">
        <f>SUM(V24:V29)</f>
        <v>15764.371660800001</v>
      </c>
      <c r="W31" s="48">
        <f>SUM(W24:W29)</f>
        <v>189172.45992959998</v>
      </c>
    </row>
    <row r="32" spans="1:23" x14ac:dyDescent="0.25">
      <c r="A32" t="s">
        <v>11</v>
      </c>
      <c r="C32" s="1">
        <v>0.17</v>
      </c>
      <c r="D32" s="1">
        <v>0.17</v>
      </c>
      <c r="E32" s="1"/>
    </row>
    <row r="33" spans="1:5" x14ac:dyDescent="0.25">
      <c r="A33" t="s">
        <v>22</v>
      </c>
      <c r="C33" s="10">
        <v>6.68</v>
      </c>
      <c r="D33" s="10">
        <v>6.68</v>
      </c>
      <c r="E33" s="10">
        <v>0.71</v>
      </c>
    </row>
    <row r="34" spans="1:5" x14ac:dyDescent="0.25">
      <c r="A34" t="s">
        <v>13</v>
      </c>
      <c r="C34" s="1">
        <v>2.4700000000000002</v>
      </c>
      <c r="D34" s="1">
        <v>2.4700000000000002</v>
      </c>
      <c r="E34" s="1">
        <v>0.12</v>
      </c>
    </row>
    <row r="35" spans="1:5" x14ac:dyDescent="0.25">
      <c r="A35" t="s">
        <v>14</v>
      </c>
      <c r="C35" s="1">
        <v>1.78</v>
      </c>
      <c r="D35" s="1">
        <v>1.78</v>
      </c>
      <c r="E35" s="1">
        <v>0.11</v>
      </c>
    </row>
    <row r="36" spans="1:5" x14ac:dyDescent="0.25">
      <c r="A36" t="s">
        <v>23</v>
      </c>
      <c r="C36" s="10">
        <v>4.25</v>
      </c>
      <c r="D36" s="10">
        <v>4.25</v>
      </c>
      <c r="E36" s="10">
        <v>0.23</v>
      </c>
    </row>
    <row r="37" spans="1:5" x14ac:dyDescent="0.25">
      <c r="A37" t="s">
        <v>13</v>
      </c>
      <c r="C37" s="1">
        <v>4.1100000000000003</v>
      </c>
      <c r="D37" s="1">
        <v>4.1100000000000003</v>
      </c>
      <c r="E37" s="1">
        <v>0.2</v>
      </c>
    </row>
    <row r="38" spans="1:5" x14ac:dyDescent="0.25">
      <c r="A38" t="s">
        <v>14</v>
      </c>
      <c r="C38" s="1">
        <v>2.98</v>
      </c>
      <c r="D38" s="1">
        <v>2.98</v>
      </c>
      <c r="E38" s="1">
        <v>0.18</v>
      </c>
    </row>
    <row r="39" spans="1:5" x14ac:dyDescent="0.25">
      <c r="A39" t="s">
        <v>24</v>
      </c>
      <c r="C39" s="10">
        <v>7.09</v>
      </c>
      <c r="D39" s="10">
        <v>7.09</v>
      </c>
      <c r="E39" s="10">
        <v>0.38</v>
      </c>
    </row>
    <row r="40" spans="1:5" x14ac:dyDescent="0.25">
      <c r="A40" t="s">
        <v>13</v>
      </c>
      <c r="C40" s="1">
        <v>6.01</v>
      </c>
      <c r="D40" s="1">
        <v>6.01</v>
      </c>
      <c r="E40" s="1">
        <v>0.28999999999999998</v>
      </c>
    </row>
    <row r="41" spans="1:5" x14ac:dyDescent="0.25">
      <c r="A41" t="s">
        <v>14</v>
      </c>
      <c r="C41" s="1">
        <v>4.08</v>
      </c>
      <c r="D41" s="1">
        <v>4.08</v>
      </c>
      <c r="E41" s="1">
        <v>0.25</v>
      </c>
    </row>
    <row r="42" spans="1:5" x14ac:dyDescent="0.25">
      <c r="A42" t="s">
        <v>25</v>
      </c>
      <c r="C42" s="10">
        <v>10.1</v>
      </c>
      <c r="D42" s="10">
        <v>10.1</v>
      </c>
      <c r="E42" s="10">
        <v>0.53</v>
      </c>
    </row>
    <row r="43" spans="1:5" x14ac:dyDescent="0.25">
      <c r="A43" t="s">
        <v>13</v>
      </c>
      <c r="C43" s="1">
        <v>8.75</v>
      </c>
      <c r="D43" s="1">
        <v>8.75</v>
      </c>
      <c r="E43" s="1">
        <v>0.42</v>
      </c>
    </row>
    <row r="44" spans="1:5" x14ac:dyDescent="0.25">
      <c r="A44" t="s">
        <v>14</v>
      </c>
      <c r="C44" s="1">
        <v>5.51</v>
      </c>
      <c r="D44" s="1">
        <v>5.51</v>
      </c>
      <c r="E44" s="1">
        <v>0.33</v>
      </c>
    </row>
    <row r="45" spans="1:5" x14ac:dyDescent="0.25">
      <c r="A45" t="s">
        <v>26</v>
      </c>
      <c r="C45" s="10">
        <v>14.26</v>
      </c>
      <c r="D45" s="10">
        <v>14.26</v>
      </c>
      <c r="E45" s="10">
        <v>0.75</v>
      </c>
    </row>
    <row r="46" spans="1:5" x14ac:dyDescent="0.25">
      <c r="A46" t="s">
        <v>27</v>
      </c>
      <c r="C46" s="10">
        <v>750</v>
      </c>
      <c r="D46" s="10">
        <v>750</v>
      </c>
      <c r="E46" s="10">
        <v>750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ignoredErrors>
    <ignoredError sqref="V14:W1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C4D2F-F03B-4402-AF92-59BFF675C557}">
  <dimension ref="A1:L36"/>
  <sheetViews>
    <sheetView workbookViewId="0">
      <selection activeCell="T20" sqref="T20"/>
    </sheetView>
  </sheetViews>
  <sheetFormatPr defaultRowHeight="15" x14ac:dyDescent="0.25"/>
  <cols>
    <col min="1" max="1" width="35.140625" style="3" customWidth="1"/>
    <col min="2" max="2" width="21.85546875" style="3" bestFit="1" customWidth="1"/>
    <col min="3" max="3" width="30.28515625" style="3" customWidth="1"/>
    <col min="4" max="4" width="13" style="3" customWidth="1"/>
    <col min="5" max="5" width="13.140625" style="3" customWidth="1"/>
    <col min="6" max="6" width="11.7109375" style="3" customWidth="1"/>
    <col min="7" max="16384" width="9.140625" style="3"/>
  </cols>
  <sheetData>
    <row r="1" spans="1:11" ht="15.75" x14ac:dyDescent="0.25">
      <c r="A1" s="12" t="s">
        <v>2</v>
      </c>
      <c r="B1" s="12"/>
    </row>
    <row r="2" spans="1:11" ht="45" x14ac:dyDescent="0.25">
      <c r="B2" s="3" t="s">
        <v>28</v>
      </c>
      <c r="C2" s="4" t="s">
        <v>77</v>
      </c>
      <c r="D2" s="5" t="s">
        <v>29</v>
      </c>
      <c r="E2" s="5" t="s">
        <v>30</v>
      </c>
      <c r="F2" s="5" t="s">
        <v>31</v>
      </c>
      <c r="G2" s="3" t="s">
        <v>16</v>
      </c>
      <c r="H2" s="3" t="s">
        <v>17</v>
      </c>
      <c r="I2" s="3" t="s">
        <v>18</v>
      </c>
      <c r="J2" s="3" t="s">
        <v>11</v>
      </c>
    </row>
    <row r="3" spans="1:11" ht="15.75" x14ac:dyDescent="0.25">
      <c r="A3" s="65" t="s">
        <v>32</v>
      </c>
      <c r="B3" s="6" t="s">
        <v>33</v>
      </c>
      <c r="C3" s="15">
        <v>39</v>
      </c>
      <c r="D3" s="9">
        <f>+C3*Abiandmed!C10</f>
        <v>292.5</v>
      </c>
      <c r="E3" s="9">
        <f>+C3*Abiandmed!C11</f>
        <v>256.23</v>
      </c>
      <c r="F3" s="9">
        <f>+C3*Abiandmed!C12</f>
        <v>51.09</v>
      </c>
      <c r="G3" s="1">
        <f>+C3*Abiandmed!C13</f>
        <v>3.51</v>
      </c>
      <c r="H3" s="1">
        <f>+C3*Abiandmed!C14</f>
        <v>9.36</v>
      </c>
      <c r="I3" s="1">
        <f>+C3*Abiandmed!C15</f>
        <v>7.02</v>
      </c>
      <c r="J3" s="1">
        <f>+C3*Abiandmed!C16</f>
        <v>6.6300000000000008</v>
      </c>
    </row>
    <row r="4" spans="1:11" ht="15.75" x14ac:dyDescent="0.25">
      <c r="A4" s="65"/>
      <c r="B4" s="6" t="s">
        <v>34</v>
      </c>
      <c r="C4" s="15">
        <v>53</v>
      </c>
      <c r="D4" s="9">
        <f>+C4*Abiandmed!C18</f>
        <v>222.07000000000002</v>
      </c>
      <c r="E4" s="9">
        <f>+C4*Abiandmed!C19</f>
        <v>243.26999999999998</v>
      </c>
      <c r="F4" s="9">
        <f>+C4*Abiandmed!C20</f>
        <v>69.430000000000007</v>
      </c>
      <c r="G4" s="1">
        <f>+C4*Abiandmed!C21</f>
        <v>4.7699999999999996</v>
      </c>
      <c r="H4" s="1">
        <f>+C4*Abiandmed!C22</f>
        <v>12.719999999999999</v>
      </c>
      <c r="I4" s="1">
        <f>+C4*Abiandmed!C23</f>
        <v>9.5399999999999991</v>
      </c>
      <c r="J4" s="1">
        <f>+C4*Abiandmed!C24</f>
        <v>9.01</v>
      </c>
    </row>
    <row r="5" spans="1:11" ht="15.75" x14ac:dyDescent="0.25">
      <c r="A5" s="65"/>
      <c r="B5" s="6" t="s">
        <v>35</v>
      </c>
      <c r="C5" s="15">
        <v>1364</v>
      </c>
      <c r="D5" s="9">
        <f>+C5*Abiandmed!C26</f>
        <v>3464.56</v>
      </c>
      <c r="E5" s="9">
        <f>+C5*Abiandmed!C27</f>
        <v>2932.6</v>
      </c>
      <c r="F5" s="9">
        <f>+C5*Abiandmed!C28</f>
        <v>1786.8400000000001</v>
      </c>
      <c r="G5" s="1">
        <f>+C5*Abiandmed!C29</f>
        <v>122.75999999999999</v>
      </c>
      <c r="H5" s="1">
        <f>+C5*Abiandmed!C30</f>
        <v>327.36</v>
      </c>
      <c r="I5" s="1">
        <f>+C5*Abiandmed!C31</f>
        <v>245.51999999999998</v>
      </c>
      <c r="J5" s="1">
        <f>+C5*Abiandmed!C32</f>
        <v>231.88000000000002</v>
      </c>
    </row>
    <row r="6" spans="1:11" ht="15.75" x14ac:dyDescent="0.25">
      <c r="A6" s="65"/>
      <c r="B6" s="6" t="s">
        <v>36</v>
      </c>
      <c r="C6" s="15">
        <v>260</v>
      </c>
      <c r="D6" s="9">
        <f>+C6*Abiandmed!C34</f>
        <v>642.20000000000005</v>
      </c>
      <c r="E6" s="9">
        <f>+C6*Abiandmed!C35</f>
        <v>462.8</v>
      </c>
      <c r="F6" s="5"/>
    </row>
    <row r="7" spans="1:11" ht="15.75" x14ac:dyDescent="0.25">
      <c r="A7" s="65"/>
      <c r="B7" s="6" t="s">
        <v>37</v>
      </c>
      <c r="C7" s="15">
        <v>162</v>
      </c>
      <c r="D7" s="9">
        <f>+C7*Abiandmed!C37</f>
        <v>665.82</v>
      </c>
      <c r="E7" s="9">
        <f>+C7*Abiandmed!C38</f>
        <v>482.76</v>
      </c>
      <c r="F7" s="5"/>
    </row>
    <row r="8" spans="1:11" ht="15.75" x14ac:dyDescent="0.25">
      <c r="A8" s="65"/>
      <c r="B8" s="6" t="s">
        <v>38</v>
      </c>
      <c r="C8" s="15">
        <v>162</v>
      </c>
      <c r="D8" s="9">
        <f>+C8*Abiandmed!C40</f>
        <v>973.62</v>
      </c>
      <c r="E8" s="9">
        <f>+C8*Abiandmed!C41</f>
        <v>660.96</v>
      </c>
      <c r="F8" s="5"/>
    </row>
    <row r="9" spans="1:11" ht="15.75" x14ac:dyDescent="0.25">
      <c r="A9" s="65"/>
      <c r="B9" s="6" t="s">
        <v>39</v>
      </c>
      <c r="C9" s="15">
        <v>50</v>
      </c>
      <c r="D9" s="9">
        <f>+C9*Abiandmed!C43</f>
        <v>437.5</v>
      </c>
      <c r="E9" s="9">
        <f>+C9*Abiandmed!C44</f>
        <v>275.5</v>
      </c>
      <c r="F9" s="5"/>
    </row>
    <row r="10" spans="1:11" x14ac:dyDescent="0.25">
      <c r="D10" s="11">
        <f t="shared" ref="D10:J10" si="0">SUM(D3:D9)</f>
        <v>6698.2699999999995</v>
      </c>
      <c r="E10" s="11">
        <f t="shared" si="0"/>
        <v>5314.12</v>
      </c>
      <c r="F10" s="11">
        <f t="shared" si="0"/>
        <v>1907.3600000000001</v>
      </c>
      <c r="G10" s="10">
        <f t="shared" si="0"/>
        <v>131.04</v>
      </c>
      <c r="H10" s="10">
        <f t="shared" si="0"/>
        <v>349.44</v>
      </c>
      <c r="I10" s="10">
        <f t="shared" si="0"/>
        <v>262.08</v>
      </c>
      <c r="J10" s="10">
        <f t="shared" si="0"/>
        <v>247.52000000000004</v>
      </c>
    </row>
    <row r="12" spans="1:11" ht="15.75" x14ac:dyDescent="0.25">
      <c r="A12" s="3" t="s">
        <v>40</v>
      </c>
      <c r="C12" s="54">
        <f>+D10+E10+F10+G10+H10+I10+J10</f>
        <v>14909.830000000002</v>
      </c>
    </row>
    <row r="13" spans="1:11" ht="15.75" x14ac:dyDescent="0.25">
      <c r="A13" s="3" t="s">
        <v>41</v>
      </c>
      <c r="B13" s="6" t="s">
        <v>44</v>
      </c>
      <c r="C13" s="54">
        <f>IF(B13="JAH",C12*1.1,0)</f>
        <v>16400.813000000002</v>
      </c>
    </row>
    <row r="14" spans="1:11" ht="15.75" x14ac:dyDescent="0.25">
      <c r="A14" s="3" t="s">
        <v>43</v>
      </c>
      <c r="B14" s="3" t="s">
        <v>44</v>
      </c>
      <c r="C14" s="54">
        <f>IF(
    B14="jah",
    C13,
    IF(
        AND(B14="ei", SUM(C3:C5)&gt;1200),
        IF(
            B13="ei",
            (C12/SUM(C3:C5)*1200) + ((C12 - (C12/SUM(C3:C5)*1200)) * 0.58),
            (C13/SUM(C3:C5)*1200) + ((C13 - (C13/SUM(C3:C5)*1200)) * 0.58)
        ),
        ""
    )
)</f>
        <v>16400.813000000002</v>
      </c>
      <c r="G14" s="3" t="s">
        <v>79</v>
      </c>
      <c r="K14" s="53" t="s">
        <v>78</v>
      </c>
    </row>
    <row r="16" spans="1:11" x14ac:dyDescent="0.25">
      <c r="I16" s="3" t="s">
        <v>80</v>
      </c>
      <c r="K16" s="3" t="s">
        <v>81</v>
      </c>
    </row>
    <row r="18" spans="1:9" x14ac:dyDescent="0.25">
      <c r="A18" s="66" t="s">
        <v>12</v>
      </c>
      <c r="B18" s="5" t="s">
        <v>4</v>
      </c>
      <c r="C18" s="5">
        <v>1095.1500000000001</v>
      </c>
      <c r="E18" s="8" t="s">
        <v>45</v>
      </c>
      <c r="F18" s="56">
        <f>D10+E10+F10+C18</f>
        <v>15014.9</v>
      </c>
    </row>
    <row r="19" spans="1:9" x14ac:dyDescent="0.25">
      <c r="A19" s="66"/>
      <c r="B19" s="3" t="s">
        <v>7</v>
      </c>
      <c r="C19" s="3">
        <v>140.51</v>
      </c>
    </row>
    <row r="20" spans="1:9" x14ac:dyDescent="0.25">
      <c r="A20" s="66"/>
      <c r="B20" s="3" t="s">
        <v>8</v>
      </c>
      <c r="C20" s="3">
        <v>978.51</v>
      </c>
    </row>
    <row r="21" spans="1:9" x14ac:dyDescent="0.25">
      <c r="A21" s="66"/>
      <c r="B21" s="3" t="s">
        <v>9</v>
      </c>
      <c r="C21" s="3">
        <v>507.81</v>
      </c>
    </row>
    <row r="22" spans="1:9" x14ac:dyDescent="0.25">
      <c r="A22" s="66"/>
      <c r="B22" s="3" t="s">
        <v>10</v>
      </c>
      <c r="C22" s="3">
        <v>493.85</v>
      </c>
    </row>
    <row r="23" spans="1:9" x14ac:dyDescent="0.25">
      <c r="A23" s="66"/>
      <c r="B23" s="3" t="s">
        <v>11</v>
      </c>
      <c r="C23" s="3">
        <v>429.07</v>
      </c>
      <c r="H23" s="7"/>
    </row>
    <row r="24" spans="1:9" ht="15.75" x14ac:dyDescent="0.25">
      <c r="C24" s="13">
        <f>SUM(C18:C23)</f>
        <v>3644.9</v>
      </c>
      <c r="H24" s="7"/>
    </row>
    <row r="25" spans="1:9" x14ac:dyDescent="0.25">
      <c r="A25" s="3" t="s">
        <v>46</v>
      </c>
      <c r="B25" s="3" t="s">
        <v>42</v>
      </c>
      <c r="C25">
        <f>IF(B25="JAH",C24*0.4,0)</f>
        <v>0</v>
      </c>
      <c r="I25" s="7"/>
    </row>
    <row r="26" spans="1:9" x14ac:dyDescent="0.25">
      <c r="B26" s="3" t="s">
        <v>47</v>
      </c>
      <c r="C26" s="55">
        <f>+C24+C25</f>
        <v>3644.9</v>
      </c>
      <c r="G26" s="7"/>
    </row>
    <row r="28" spans="1:9" x14ac:dyDescent="0.25">
      <c r="H28"/>
    </row>
    <row r="30" spans="1:9" x14ac:dyDescent="0.25">
      <c r="C30" s="7"/>
    </row>
    <row r="31" spans="1:9" x14ac:dyDescent="0.25">
      <c r="G31" s="7"/>
    </row>
    <row r="36" spans="12:12" x14ac:dyDescent="0.25">
      <c r="L36" s="7"/>
    </row>
  </sheetData>
  <mergeCells count="2">
    <mergeCell ref="A3:A9"/>
    <mergeCell ref="A18:A23"/>
  </mergeCells>
  <dataValidations count="1">
    <dataValidation type="list" allowBlank="1" showInputMessage="1" showErrorMessage="1" sqref="B13:B14 B25" xr:uid="{758EDFBE-6511-4AEB-9B8E-778B3E9740E9}">
      <formula1>"JAH,EI"</formula1>
    </dataValidation>
  </dataValidations>
  <hyperlinks>
    <hyperlink ref="K14" r:id="rId1" xr:uid="{4D8F3360-5BA8-4048-986A-9558C2216B21}"/>
  </hyperlinks>
  <pageMargins left="0.7" right="0.7" top="0.75" bottom="0.75" header="0.3" footer="0.3"/>
  <ignoredErrors>
    <ignoredError sqref="C14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3FE32-CB7E-48FF-B5BE-F0177CADED32}">
  <dimension ref="A1:N31"/>
  <sheetViews>
    <sheetView tabSelected="1" workbookViewId="0">
      <selection activeCell="AC19" sqref="AC19"/>
    </sheetView>
  </sheetViews>
  <sheetFormatPr defaultRowHeight="15" x14ac:dyDescent="0.25"/>
  <cols>
    <col min="1" max="1" width="33.7109375" style="3" customWidth="1"/>
    <col min="2" max="2" width="21.85546875" style="3" bestFit="1" customWidth="1"/>
    <col min="3" max="3" width="16.85546875" style="3" customWidth="1"/>
    <col min="4" max="4" width="12.140625" style="3" bestFit="1" customWidth="1"/>
    <col min="5" max="5" width="11" style="3" bestFit="1" customWidth="1"/>
    <col min="6" max="6" width="11.5703125" style="3" bestFit="1" customWidth="1"/>
    <col min="7" max="7" width="22" style="3" customWidth="1"/>
    <col min="8" max="8" width="11.7109375" style="3" customWidth="1"/>
    <col min="9" max="9" width="12.85546875" style="3" bestFit="1" customWidth="1"/>
    <col min="10" max="10" width="16.42578125" style="3" bestFit="1" customWidth="1"/>
    <col min="11" max="16384" width="9.140625" style="3"/>
  </cols>
  <sheetData>
    <row r="1" spans="1:14" x14ac:dyDescent="0.25">
      <c r="A1" s="2" t="s">
        <v>49</v>
      </c>
    </row>
    <row r="2" spans="1:14" ht="75" x14ac:dyDescent="0.25">
      <c r="B2" s="3" t="s">
        <v>28</v>
      </c>
      <c r="C2" s="4" t="s">
        <v>77</v>
      </c>
      <c r="D2" s="5" t="s">
        <v>29</v>
      </c>
      <c r="E2" s="5" t="s">
        <v>30</v>
      </c>
      <c r="F2" s="5" t="s">
        <v>31</v>
      </c>
      <c r="G2" s="3" t="s">
        <v>16</v>
      </c>
      <c r="H2" s="3" t="s">
        <v>17</v>
      </c>
      <c r="I2" s="3" t="s">
        <v>18</v>
      </c>
      <c r="J2" s="3" t="s">
        <v>11</v>
      </c>
    </row>
    <row r="3" spans="1:14" ht="15.75" x14ac:dyDescent="0.25">
      <c r="A3" s="65" t="s">
        <v>32</v>
      </c>
      <c r="B3" s="6" t="s">
        <v>33</v>
      </c>
      <c r="C3" s="15">
        <v>39</v>
      </c>
      <c r="D3" s="57">
        <f>+C3*Abiandmed!C10</f>
        <v>292.5</v>
      </c>
      <c r="E3" s="57">
        <f>+C3*Abiandmed!C11</f>
        <v>256.23</v>
      </c>
      <c r="F3" s="57">
        <f>+C3*Abiandmed!C12</f>
        <v>51.09</v>
      </c>
      <c r="G3" s="58">
        <f>+C3*Abiandmed!C13</f>
        <v>3.51</v>
      </c>
      <c r="H3" s="58">
        <f>+C3*Abiandmed!C14</f>
        <v>9.36</v>
      </c>
      <c r="I3" s="58">
        <f>+C3*Abiandmed!C15</f>
        <v>7.02</v>
      </c>
      <c r="J3" s="58">
        <f>+C3*Abiandmed!C16</f>
        <v>6.6300000000000008</v>
      </c>
    </row>
    <row r="4" spans="1:14" ht="15.75" x14ac:dyDescent="0.25">
      <c r="A4" s="65"/>
      <c r="B4" s="6" t="s">
        <v>34</v>
      </c>
      <c r="C4" s="15">
        <v>53</v>
      </c>
      <c r="D4" s="57">
        <f>+C4*Abiandmed!C18</f>
        <v>222.07000000000002</v>
      </c>
      <c r="E4" s="57">
        <f>+C4*Abiandmed!C19</f>
        <v>243.26999999999998</v>
      </c>
      <c r="F4" s="57">
        <f>+C4*Abiandmed!C20</f>
        <v>69.430000000000007</v>
      </c>
      <c r="G4" s="58">
        <f>+C4*Abiandmed!C21</f>
        <v>4.7699999999999996</v>
      </c>
      <c r="H4" s="58">
        <f>+C4*Abiandmed!C22</f>
        <v>12.719999999999999</v>
      </c>
      <c r="I4" s="58">
        <f>+C4*Abiandmed!C23</f>
        <v>9.5399999999999991</v>
      </c>
      <c r="J4" s="58">
        <f>+C4*Abiandmed!C24</f>
        <v>9.01</v>
      </c>
    </row>
    <row r="5" spans="1:14" ht="15.75" x14ac:dyDescent="0.25">
      <c r="A5" s="65"/>
      <c r="B5" s="6" t="s">
        <v>35</v>
      </c>
      <c r="C5" s="15">
        <v>1364</v>
      </c>
      <c r="D5" s="57">
        <f>+C5*Abiandmed!C26</f>
        <v>3464.56</v>
      </c>
      <c r="E5" s="57">
        <f>+C5*Abiandmed!C27</f>
        <v>2932.6</v>
      </c>
      <c r="F5" s="57">
        <f>+C5*Abiandmed!C28</f>
        <v>1786.8400000000001</v>
      </c>
      <c r="G5" s="58">
        <f>+C5*Abiandmed!C29</f>
        <v>122.75999999999999</v>
      </c>
      <c r="H5" s="58">
        <f>+C5*Abiandmed!C30</f>
        <v>327.36</v>
      </c>
      <c r="I5" s="58">
        <f>+C5*Abiandmed!C31</f>
        <v>245.51999999999998</v>
      </c>
      <c r="J5" s="58">
        <f>+C5*Abiandmed!C32</f>
        <v>231.88000000000002</v>
      </c>
    </row>
    <row r="6" spans="1:14" ht="15.75" x14ac:dyDescent="0.25">
      <c r="A6" s="65"/>
      <c r="B6" s="6" t="s">
        <v>36</v>
      </c>
      <c r="C6" s="15">
        <v>260</v>
      </c>
      <c r="D6" s="57">
        <f>+C6*Abiandmed!C34</f>
        <v>642.20000000000005</v>
      </c>
      <c r="E6" s="57">
        <f>+C6*Abiandmed!C35</f>
        <v>462.8</v>
      </c>
      <c r="F6" s="59"/>
      <c r="G6" s="60"/>
      <c r="H6" s="60"/>
      <c r="I6" s="60"/>
      <c r="J6" s="60"/>
    </row>
    <row r="7" spans="1:14" ht="15.75" x14ac:dyDescent="0.25">
      <c r="A7" s="65"/>
      <c r="B7" s="6" t="s">
        <v>37</v>
      </c>
      <c r="C7" s="15">
        <v>162</v>
      </c>
      <c r="D7" s="57">
        <f>+C7*Abiandmed!C37</f>
        <v>665.82</v>
      </c>
      <c r="E7" s="57">
        <f>+C7*Abiandmed!C38</f>
        <v>482.76</v>
      </c>
      <c r="F7" s="59"/>
      <c r="G7" s="60"/>
      <c r="H7" s="60"/>
      <c r="I7" s="60"/>
      <c r="J7" s="60"/>
    </row>
    <row r="8" spans="1:14" ht="15.75" x14ac:dyDescent="0.25">
      <c r="A8" s="65"/>
      <c r="B8" s="6" t="s">
        <v>38</v>
      </c>
      <c r="C8" s="15">
        <v>162</v>
      </c>
      <c r="D8" s="57">
        <f>+C8*Abiandmed!C40</f>
        <v>973.62</v>
      </c>
      <c r="E8" s="57">
        <f>+C8*Abiandmed!C41</f>
        <v>660.96</v>
      </c>
      <c r="F8" s="59"/>
      <c r="G8" s="60"/>
      <c r="H8" s="60"/>
      <c r="I8" s="60"/>
      <c r="J8" s="60"/>
    </row>
    <row r="9" spans="1:14" ht="15.75" x14ac:dyDescent="0.25">
      <c r="A9" s="65"/>
      <c r="B9" s="6" t="s">
        <v>39</v>
      </c>
      <c r="C9" s="15">
        <v>50</v>
      </c>
      <c r="D9" s="57">
        <f>+C9*Abiandmed!C43</f>
        <v>437.5</v>
      </c>
      <c r="E9" s="57">
        <f>+C9*Abiandmed!C44</f>
        <v>275.5</v>
      </c>
      <c r="F9" s="59"/>
      <c r="G9" s="60"/>
      <c r="H9" s="60"/>
      <c r="I9" s="60"/>
      <c r="J9" s="60"/>
    </row>
    <row r="10" spans="1:14" x14ac:dyDescent="0.25">
      <c r="D10" s="61">
        <f t="shared" ref="D10:J10" si="0">SUM(D3:D9)</f>
        <v>6698.2699999999995</v>
      </c>
      <c r="E10" s="61">
        <f t="shared" si="0"/>
        <v>5314.12</v>
      </c>
      <c r="F10" s="61">
        <f t="shared" si="0"/>
        <v>1907.3600000000001</v>
      </c>
      <c r="G10" s="61">
        <f t="shared" si="0"/>
        <v>131.04</v>
      </c>
      <c r="H10" s="61">
        <f t="shared" si="0"/>
        <v>349.44</v>
      </c>
      <c r="I10" s="61">
        <f t="shared" si="0"/>
        <v>262.08</v>
      </c>
      <c r="J10" s="61">
        <f t="shared" si="0"/>
        <v>247.52000000000004</v>
      </c>
    </row>
    <row r="11" spans="1:14" x14ac:dyDescent="0.25">
      <c r="A11" s="3" t="s">
        <v>54</v>
      </c>
      <c r="B11" s="3" t="s">
        <v>44</v>
      </c>
      <c r="D11" s="58">
        <f>IF(B11="JAH",Abiandmed!E10*C3+Abiandmed!E18*C4+Abiandmed!E26*C5+Abiandmed!E34*C6+Abiandmed!E37*C7+Abiandmed!E40*C8+Abiandmed!E43*C9,0)</f>
        <v>319.89999999999998</v>
      </c>
      <c r="E11" s="58">
        <f>IF(B11="JAH",Abiandmed!E11*ETTK!C3+Abiandmed!E26*ETTK!C4+Abiandmed!E27*ETTK!C5+Abiandmed!E35*ETTK!C6+Abiandmed!E38*ETTK!C7+Abiandmed!E41*ETTK!C8+Abiandmed!E44*ETTK!C9,0)</f>
        <v>314.04000000000002</v>
      </c>
      <c r="F11" s="58">
        <f>IF(B11="JAH",Abiandmed!E12*ETTK!C3+Abiandmed!E20*ETTK!C4+Abiandmed!E28*Abiandmed!C5,0)</f>
        <v>334.3691</v>
      </c>
      <c r="G11" s="60">
        <f>IF(B11="JAH",Abiandmed!E13*ETTK!C3+Abiandmed!E21*ETTK!C4+Abiandmed!E29*ETTK!C5,0)</f>
        <v>218.4</v>
      </c>
      <c r="H11" s="60"/>
      <c r="I11" s="60"/>
      <c r="J11" s="60"/>
    </row>
    <row r="12" spans="1:14" ht="15.75" x14ac:dyDescent="0.25">
      <c r="A12" s="3" t="s">
        <v>40</v>
      </c>
      <c r="C12" s="54">
        <f>+D10+E10+F10+G10+H10+I10+J10+D11+E11+F11+G11</f>
        <v>16096.539100000002</v>
      </c>
    </row>
    <row r="13" spans="1:14" ht="15.75" x14ac:dyDescent="0.25">
      <c r="A13" s="3" t="s">
        <v>41</v>
      </c>
      <c r="B13" s="6" t="s">
        <v>44</v>
      </c>
      <c r="C13" s="54">
        <f>IF(B13="JAH",C12*1.1,0)</f>
        <v>17706.193010000003</v>
      </c>
    </row>
    <row r="14" spans="1:14" ht="15.75" x14ac:dyDescent="0.25">
      <c r="A14" s="3" t="s">
        <v>43</v>
      </c>
      <c r="B14" s="3" t="s">
        <v>44</v>
      </c>
      <c r="C14" s="54">
        <f>IF(
    B14="jah",
    C13,
    IF(
        AND(B14="ei", SUM(C3:C5)&gt;1200),
        IF(
            B13="ei",
            (C12/SUM(C3:C5)*1200) + ((C12 - (C12/SUM(C3:C5)*1200)) * 0.58),
            (C13/SUM(C3:C5)*1200) + ((C13 - (C13/SUM(C3:C5)*1200)) * 0.58)
        ),
        ""
    )
)</f>
        <v>17706.193010000003</v>
      </c>
      <c r="J14" s="3" t="s">
        <v>79</v>
      </c>
      <c r="N14" s="53" t="s">
        <v>78</v>
      </c>
    </row>
    <row r="16" spans="1:14" x14ac:dyDescent="0.25">
      <c r="L16" s="3" t="s">
        <v>80</v>
      </c>
      <c r="N16" s="3" t="s">
        <v>81</v>
      </c>
    </row>
    <row r="18" spans="1:8" x14ac:dyDescent="0.25">
      <c r="A18" s="66" t="s">
        <v>12</v>
      </c>
      <c r="B18" s="5" t="s">
        <v>4</v>
      </c>
      <c r="C18" s="62">
        <v>2190.2952959999998</v>
      </c>
      <c r="G18" s="8" t="s">
        <v>45</v>
      </c>
      <c r="H18" s="56">
        <f>+D10+D11+E10+E11+F10+F11+C18</f>
        <v>17078.354395999999</v>
      </c>
    </row>
    <row r="19" spans="1:8" x14ac:dyDescent="0.25">
      <c r="A19" s="66"/>
      <c r="B19" s="3" t="s">
        <v>7</v>
      </c>
      <c r="C19" s="63">
        <v>171.68954050119152</v>
      </c>
    </row>
    <row r="20" spans="1:8" x14ac:dyDescent="0.25">
      <c r="A20" s="66"/>
      <c r="B20" s="3" t="s">
        <v>8</v>
      </c>
      <c r="C20" s="63">
        <v>1936.52585</v>
      </c>
    </row>
    <row r="21" spans="1:8" x14ac:dyDescent="0.25">
      <c r="A21" s="66"/>
      <c r="B21" s="3" t="s">
        <v>9</v>
      </c>
      <c r="C21" s="63">
        <v>507.80562902618021</v>
      </c>
    </row>
    <row r="22" spans="1:8" x14ac:dyDescent="0.25">
      <c r="A22" s="66"/>
      <c r="B22" s="3" t="s">
        <v>10</v>
      </c>
      <c r="C22" s="63">
        <v>622.21031585542551</v>
      </c>
    </row>
    <row r="23" spans="1:8" x14ac:dyDescent="0.25">
      <c r="A23" s="66"/>
      <c r="B23" s="3" t="s">
        <v>11</v>
      </c>
      <c r="C23" s="63">
        <v>470.25090309799168</v>
      </c>
    </row>
    <row r="24" spans="1:8" ht="15.75" x14ac:dyDescent="0.25">
      <c r="C24" s="64">
        <f>SUM(C18:C23)</f>
        <v>5898.7775344807887</v>
      </c>
    </row>
    <row r="25" spans="1:8" x14ac:dyDescent="0.25">
      <c r="A25" s="3" t="s">
        <v>46</v>
      </c>
      <c r="B25" s="3" t="s">
        <v>42</v>
      </c>
      <c r="C25" s="58">
        <f>IF(B25="JAH",Abiandmed!C9*0.4,0)</f>
        <v>0</v>
      </c>
    </row>
    <row r="26" spans="1:8" x14ac:dyDescent="0.25">
      <c r="A26" s="3" t="s">
        <v>50</v>
      </c>
      <c r="B26" s="3">
        <v>10</v>
      </c>
      <c r="C26" s="61">
        <f>(VLOOKUP(B26,Abiandmed!I3:J28,2,0))</f>
        <v>0.8650000000000001</v>
      </c>
    </row>
    <row r="27" spans="1:8" x14ac:dyDescent="0.25">
      <c r="A27" s="3" t="s">
        <v>51</v>
      </c>
      <c r="C27" s="61">
        <f>+(C24+C25)*C26</f>
        <v>5102.4425673258829</v>
      </c>
    </row>
    <row r="31" spans="1:8" x14ac:dyDescent="0.25">
      <c r="D31" s="7"/>
    </row>
  </sheetData>
  <mergeCells count="2">
    <mergeCell ref="A3:A9"/>
    <mergeCell ref="A18:A23"/>
  </mergeCells>
  <dataValidations count="2">
    <dataValidation type="list" allowBlank="1" showInputMessage="1" showErrorMessage="1" sqref="B13:B15 B25 B11" xr:uid="{96FF0626-AAA8-47A5-AE6A-54EA849D413E}">
      <formula1>"JAH,EI"</formula1>
    </dataValidation>
    <dataValidation type="list" allowBlank="1" showInputMessage="1" showErrorMessage="1" sqref="B26" xr:uid="{F5BD15DC-6915-4D80-BDEA-CBD87AAB6508}">
      <formula1>"3,4,5,6,7,8,9,10,11,12,13,14,15,16,17,18,19,20,21,22,23,24,25,26,27"</formula1>
    </dataValidation>
  </dataValidations>
  <hyperlinks>
    <hyperlink ref="N14" r:id="rId1" xr:uid="{78C93250-C707-4BE4-94DA-9182D6ECB9BC}"/>
  </hyperlink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Eri_x00f5_eteenus xmlns="fba58e3c-88d7-47b5-83a3-f2277f39d6e1" xsi:nil="true"/>
    <_ip_UnifiedCompliancePolicyProperties xmlns="http://schemas.microsoft.com/sharepoint/v3" xsi:nil="true"/>
    <TaxCatchAll xmlns="d563ee63-fc49-4e0f-9474-773f50116adb" xsi:nil="true"/>
    <lcf76f155ced4ddcb4097134ff3c332f xmlns="fba58e3c-88d7-47b5-83a3-f2277f39d6e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E915E40571AC0449EDF3E0FF4DB9D94" ma:contentTypeVersion="27" ma:contentTypeDescription="Loo uus dokument" ma:contentTypeScope="" ma:versionID="96862e2f5c9c912d1f91fbf9ea54c88a">
  <xsd:schema xmlns:xsd="http://www.w3.org/2001/XMLSchema" xmlns:xs="http://www.w3.org/2001/XMLSchema" xmlns:p="http://schemas.microsoft.com/office/2006/metadata/properties" xmlns:ns1="http://schemas.microsoft.com/sharepoint/v3" xmlns:ns2="fba58e3c-88d7-47b5-83a3-f2277f39d6e1" xmlns:ns3="d563ee63-fc49-4e0f-9474-773f50116adb" targetNamespace="http://schemas.microsoft.com/office/2006/metadata/properties" ma:root="true" ma:fieldsID="dcc1096d1ae126a588fd95cf15c66581" ns1:_="" ns2:_="" ns3:_="">
    <xsd:import namespace="http://schemas.microsoft.com/sharepoint/v3"/>
    <xsd:import namespace="fba58e3c-88d7-47b5-83a3-f2277f39d6e1"/>
    <xsd:import namespace="d563ee63-fc49-4e0f-9474-773f50116a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Eri_x00f5_eteenu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Ühtse nõuetele vastavuse poliitika atribuudid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Ühtse nõuetele vastavuse poliitika kasutajaliidesetoim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a58e3c-88d7-47b5-83a3-f2277f39d6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Pildisildid" ma:readOnly="false" ma:fieldId="{5cf76f15-5ced-4ddc-b409-7134ff3c332f}" ma:taxonomyMulti="true" ma:sspId="d0dfdd9a-08aa-49ba-8b8c-1f0b5c74ee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Eri_x00f5_eteenus" ma:index="25" nillable="true" ma:displayName="Eriõe teenus" ma:description="Siin tähtsamad eriõe teenuse ja katseprojektia seotud dokumendid" ma:format="Dropdown" ma:internalName="Eri_x00f5_eteenus">
      <xsd:simpleType>
        <xsd:restriction base="dms:Text">
          <xsd:maxLength value="255"/>
        </xsd:restriction>
      </xsd:simpleType>
    </xsd:element>
    <xsd:element name="MediaServiceLocation" ma:index="26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63ee63-fc49-4e0f-9474-773f50116ad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03e119c7-e299-4254-971c-a0fd98709c42}" ma:internalName="TaxCatchAll" ma:showField="CatchAllData" ma:web="d563ee63-fc49-4e0f-9474-773f50116a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93A709-D9B7-4B8E-BFF4-41434192191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fba58e3c-88d7-47b5-83a3-f2277f39d6e1"/>
    <ds:schemaRef ds:uri="d563ee63-fc49-4e0f-9474-773f50116adb"/>
  </ds:schemaRefs>
</ds:datastoreItem>
</file>

<file path=customXml/itemProps2.xml><?xml version="1.0" encoding="utf-8"?>
<ds:datastoreItem xmlns:ds="http://schemas.openxmlformats.org/officeDocument/2006/customXml" ds:itemID="{C8CB4ADE-74DC-4DC2-822C-F1B5EE6988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ba58e3c-88d7-47b5-83a3-f2277f39d6e1"/>
    <ds:schemaRef ds:uri="d563ee63-fc49-4e0f-9474-773f50116a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7A1324B-94EC-4E4E-910D-DB0E7BE18F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Abiandmed</vt:lpstr>
      <vt:lpstr>Üksikpraksis</vt:lpstr>
      <vt:lpstr>ETTK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Anu Valli</dc:creator>
  <cp:keywords/>
  <dc:description/>
  <cp:lastModifiedBy>Reelika Laht</cp:lastModifiedBy>
  <cp:revision/>
  <dcterms:created xsi:type="dcterms:W3CDTF">2025-11-20T16:28:05Z</dcterms:created>
  <dcterms:modified xsi:type="dcterms:W3CDTF">2026-04-22T07:41:33Z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0x0101005E915E40571AC0449EDF3E0FF4DB9D94</vt:lpwstr>
  </property>
  <property fmtid="{D5CDD505-2E9C-101B-9397-08002B2CF9AE}" pid="3" name="MediaServiceImageTags">
    <vt:lpwstr/>
  </property>
</Properties>
</file>